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965" activeTab="2"/>
  </bookViews>
  <sheets>
    <sheet name="Votre véhicule" sheetId="1" r:id="rId1"/>
    <sheet name="Votre trajet" sheetId="2" r:id="rId2"/>
    <sheet name="Methodologie" sheetId="3" r:id="rId3"/>
  </sheets>
  <definedNames/>
  <calcPr fullCalcOnLoad="1"/>
</workbook>
</file>

<file path=xl/sharedStrings.xml><?xml version="1.0" encoding="utf-8"?>
<sst xmlns="http://schemas.openxmlformats.org/spreadsheetml/2006/main" count="161" uniqueCount="156">
  <si>
    <t>Calculez le coût d'un trajet en voiture</t>
  </si>
  <si>
    <t>Version 3</t>
  </si>
  <si>
    <t>by Eco-Malin.com</t>
  </si>
  <si>
    <t>Prix d'achat du véhicule</t>
  </si>
  <si>
    <t>T.E.G</t>
  </si>
  <si>
    <t>Annuités</t>
  </si>
  <si>
    <t>Frais dossier</t>
  </si>
  <si>
    <t>Cout total</t>
  </si>
  <si>
    <t>Prix de revente souhaité</t>
  </si>
  <si>
    <t>Prix à amortir</t>
  </si>
  <si>
    <t>Nombre de km souhaités</t>
  </si>
  <si>
    <t>Amortissement au km</t>
  </si>
  <si>
    <t>Prix de l'assurance auto</t>
  </si>
  <si>
    <t>Assurance auto au km</t>
  </si>
  <si>
    <t>Prix</t>
  </si>
  <si>
    <t>Entretien au km</t>
  </si>
  <si>
    <t>Amendes</t>
  </si>
  <si>
    <t>Coût contrôle technique</t>
  </si>
  <si>
    <t>Total</t>
  </si>
  <si>
    <t>Dont emprunt</t>
  </si>
  <si>
    <t>Coût effectif du véhicule (prix + intérêts) *</t>
  </si>
  <si>
    <t>* Laissez zéro si vous n'avez pas fait d'emprunt</t>
  </si>
  <si>
    <t>* Taux d'intérêt de l'emprunt</t>
  </si>
  <si>
    <t>* Durée de l'emprunt</t>
  </si>
  <si>
    <t>* Indiquez 0€ si vous souhaitez garder votre véhicule jusqu'au bout, ou la somme que vous souhaitez tirer lorsque vous revendrez votre véhicule</t>
  </si>
  <si>
    <t>* Indiquez combien vous pensez rouler avec votre voiture</t>
  </si>
  <si>
    <t>Dépense annuelle moyenne</t>
  </si>
  <si>
    <t>Lavage</t>
  </si>
  <si>
    <t>* Prix dépensé en moyenne à la station de lavage</t>
  </si>
  <si>
    <t>&gt;&gt; Infractions &amp; Contraventions</t>
  </si>
  <si>
    <t>* Amende de vitesse</t>
  </si>
  <si>
    <t>* Tous les combien de temps recevez vous une amende de vitesse (en année)?</t>
  </si>
  <si>
    <t>Nettoyage (au km)</t>
  </si>
  <si>
    <t>&gt;&gt; Nettoyage</t>
  </si>
  <si>
    <t xml:space="preserve">* Combien de fois lavez vous votre voiture en station de nettoyage (par an)? </t>
  </si>
  <si>
    <t>* Indiquez le coût moyen de contrôle technique de votre véhicule</t>
  </si>
  <si>
    <t>OUI</t>
  </si>
  <si>
    <t>Votre voiture a-t-elle plus de 2 ans?</t>
  </si>
  <si>
    <t>* Répondre "OUI" ou "NON"</t>
  </si>
  <si>
    <t>Amende de stationnement</t>
  </si>
  <si>
    <t>Tous les</t>
  </si>
  <si>
    <t>* Amende de stationnement</t>
  </si>
  <si>
    <t>* Combien d'amende recevez vous par an? Indiquez 0 si moins d'une par an</t>
  </si>
  <si>
    <t>Coût total entretien, depréciation et amortisation du véhicule</t>
  </si>
  <si>
    <t>Nombre de km parcourus par an</t>
  </si>
  <si>
    <t>Consommation de carburant (l/100)</t>
  </si>
  <si>
    <t>Prix du carburant</t>
  </si>
  <si>
    <t>Coût carburant au km</t>
  </si>
  <si>
    <t>Prix habituel Péage</t>
  </si>
  <si>
    <t>* Hors compensation de co2. Si vous compensez votre co2 auprès de co2solidaire.org, rajoutez 0,07€ au prix de carburant acheté</t>
  </si>
  <si>
    <t>Amortisation, dépréciation et entretien du véhicule</t>
  </si>
  <si>
    <r>
      <t xml:space="preserve">Version 3.2 by </t>
    </r>
    <r>
      <rPr>
        <b/>
        <i/>
        <sz val="10"/>
        <color indexed="17"/>
        <rFont val="Calibri"/>
        <family val="2"/>
      </rPr>
      <t>Eco-malin.com</t>
    </r>
  </si>
  <si>
    <t>* Combien de litres aux 100 consomme votre voiture</t>
  </si>
  <si>
    <t>* Distance parcourue, en kilomètres</t>
  </si>
  <si>
    <t>I. Carburant</t>
  </si>
  <si>
    <t>II. Trajet effectué</t>
  </si>
  <si>
    <t>Votre motorisation</t>
  </si>
  <si>
    <t>DIESEL</t>
  </si>
  <si>
    <t>Co2 émis</t>
  </si>
  <si>
    <t>Diesel</t>
  </si>
  <si>
    <t>Essence</t>
  </si>
  <si>
    <t>kg co2/litre</t>
  </si>
  <si>
    <t>GASOIL</t>
  </si>
  <si>
    <t>GAZOLE</t>
  </si>
  <si>
    <t>Valeur médiane</t>
  </si>
  <si>
    <t>Emission de co2 par litre de carburant</t>
  </si>
  <si>
    <t>* Indiquez "DIESEL" ou "ESSENCE". Laissez vide pour les autres motorisations ou si vous ne savez pas.</t>
  </si>
  <si>
    <t>1. Votre véhicule</t>
  </si>
  <si>
    <t>2. Assurance auto</t>
  </si>
  <si>
    <t>3. Entretien de votre voiture</t>
  </si>
  <si>
    <t>4. Frais divers</t>
  </si>
  <si>
    <t>&gt;&gt; Contrôle technique</t>
  </si>
  <si>
    <t>Le coût du carburant</t>
  </si>
  <si>
    <t>Les péages, parking, …</t>
  </si>
  <si>
    <t>L'entretien du véhicule: garagiste, contrôle technique, …</t>
  </si>
  <si>
    <t>L'usure</t>
  </si>
  <si>
    <t>L'assurance</t>
  </si>
  <si>
    <t>La possibilité de rouler avec des biocarburants</t>
  </si>
  <si>
    <t>Calcul de coût par passager, utile pour le covoiturage</t>
  </si>
  <si>
    <t>Calcul de co2</t>
  </si>
  <si>
    <t>Les coûts liés à la carte grise</t>
  </si>
  <si>
    <t>Le coût du passage du permis de conduire</t>
  </si>
  <si>
    <t>Les coûts indirects liés à la pollution atmosphérique</t>
  </si>
  <si>
    <t>Réductions et surcouts divers: télépéage…</t>
  </si>
  <si>
    <t>Les engins annexes: GPS, cartes routières</t>
  </si>
  <si>
    <t>Les éventuels stages de récupération de points</t>
  </si>
  <si>
    <t>Les éventuelles contraventions</t>
  </si>
  <si>
    <t>Le coût des franchises, des procès en cas d'accident, ainsi que les malus</t>
  </si>
  <si>
    <t>3. Calcul de co2</t>
  </si>
  <si>
    <t>Méthodologie calcul de coûts</t>
  </si>
  <si>
    <t>Ce calculateur de coûts ne fait qu'estimer le coût de revient d'un trajet en voiture</t>
  </si>
  <si>
    <t>Les données ne sont qu'estimatives, en fonction du coût prévisible en carburants, de l'usure prévisible du véhicule… Elles doivent donc être considérées qu'en tant qu'ordre de grandeur.</t>
  </si>
  <si>
    <t>0. Introduction</t>
  </si>
  <si>
    <t>2. Paramètres non-inclus dans le calculateur de coûts</t>
  </si>
  <si>
    <t>1. Paramètres inclus dans le calculateur de coûts</t>
  </si>
  <si>
    <r>
      <t xml:space="preserve">Les données sont calculées selon les données fournies sur </t>
    </r>
    <r>
      <rPr>
        <u val="single"/>
        <sz val="11"/>
        <color indexed="30"/>
        <rFont val="Calibri"/>
        <family val="2"/>
      </rPr>
      <t>http://www.futura-sciences.com/fr/question-reponse/t/automobile/d/quel-carburant-emet-le-plus-de-co2-lessence-ou-le-gasoil_947/</t>
    </r>
    <r>
      <rPr>
        <sz val="11"/>
        <color theme="1"/>
        <rFont val="Calibri"/>
        <family val="2"/>
      </rPr>
      <t xml:space="preserve"> à savoir</t>
    </r>
  </si>
  <si>
    <t>kg de co2 par litre consommé</t>
  </si>
  <si>
    <t>En l'absence de non-réponse ou d'un autre carburant, la valeur médiane est prise en compte, à savoir 2,475 kg de co2/litre</t>
  </si>
  <si>
    <t>2.1 Facteurs de coûts non-pris en charge</t>
  </si>
  <si>
    <t>Les émissions de co2 liées à la production, le raffinage et le transport du carburant consommé</t>
  </si>
  <si>
    <t>2.2 Externalités positives non-pris en charge par la calculateur de coût</t>
  </si>
  <si>
    <t>2.3 Externalités négatives non-pris en charge par la calculateur de coût</t>
  </si>
  <si>
    <t>La mortalité routière</t>
  </si>
  <si>
    <t>La mortalité liées à la pollution automobile: asthme…</t>
  </si>
  <si>
    <r>
      <t>La mortalité de la faune (</t>
    </r>
    <r>
      <rPr>
        <b/>
        <i/>
        <u val="single"/>
        <sz val="11"/>
        <color indexed="8"/>
        <rFont val="Calibri"/>
        <family val="2"/>
      </rPr>
      <t>road kill</t>
    </r>
    <r>
      <rPr>
        <i/>
        <sz val="11"/>
        <color indexed="8"/>
        <rFont val="Calibri"/>
        <family val="2"/>
      </rPr>
      <t>)</t>
    </r>
  </si>
  <si>
    <t>Les autres émissions de polluant liées à la fabrication de la voiture (matières premières, énergie consommée lors de l'assemblage), les huiles de vidange…</t>
  </si>
  <si>
    <t>Le temps gaspillé à conduire par rapport aux autres modes de transport, où une autre activité est possible</t>
  </si>
  <si>
    <t>Remplissez une fois le feuillet votre véhicule. Par la suite, seul l'onglet "Votre trajet" sera nécessaire pour le calcul de coûts.</t>
  </si>
  <si>
    <t>Carburants</t>
  </si>
  <si>
    <t>Péage</t>
  </si>
  <si>
    <t>Assurance</t>
  </si>
  <si>
    <t>Entretien</t>
  </si>
  <si>
    <t>Les surcoûts liés à l'autoroute: prix élevé des produits alimentaires en station…</t>
  </si>
  <si>
    <t>Le coût de gonflage de pneus</t>
  </si>
  <si>
    <t>Parking</t>
  </si>
  <si>
    <t>* Amendes, nettoyage…</t>
  </si>
  <si>
    <t>dont</t>
  </si>
  <si>
    <t>Autres frais</t>
  </si>
  <si>
    <t>Dépréciation et usure</t>
  </si>
  <si>
    <t>Combien de jours par semaine vous travaillez?</t>
  </si>
  <si>
    <t>Nombre de semaines de congés payés</t>
  </si>
  <si>
    <t>Nombre de semaines de RTT</t>
  </si>
  <si>
    <t>Longueur du trajet domicile/travail</t>
  </si>
  <si>
    <t>combien de jours par semaine travaillez vous en télétravail?</t>
  </si>
  <si>
    <t>* Indiquer 0 si vous ne télétravaillez pas.</t>
  </si>
  <si>
    <t>Combien de fois rentrez vous manger chez vous à midi?</t>
  </si>
  <si>
    <t>Nombre de jours travaillés par an</t>
  </si>
  <si>
    <t>* Incluse 10 jours de congés tels que pacques, pentcôté…</t>
  </si>
  <si>
    <t>Nombre de semaines travaillées par an</t>
  </si>
  <si>
    <t>Nombre de trajets par an</t>
  </si>
  <si>
    <t>Nombre de jours par semaine où vous covoiturez</t>
  </si>
  <si>
    <t>Nombre de passagers (incluant le conducteur)</t>
  </si>
  <si>
    <t>Nombre de trajets effectifs</t>
  </si>
  <si>
    <t>Nombre de kilomètres parcourus par an</t>
  </si>
  <si>
    <t>Prix du parking (par mois)</t>
  </si>
  <si>
    <t>* Le montant dépensé en parking par mois</t>
  </si>
  <si>
    <t>Kg par mois</t>
  </si>
  <si>
    <t>Vous dépensez</t>
  </si>
  <si>
    <t>par mois pour le trajet domicile/travail</t>
  </si>
  <si>
    <t>Annuel</t>
  </si>
  <si>
    <t>Mensuel</t>
  </si>
  <si>
    <t>III. Teletravail</t>
  </si>
  <si>
    <t>IV. Votre contrat de travail</t>
  </si>
  <si>
    <t>* Indiquez 4 si vous avez une semaine de 4 jours par exemple</t>
  </si>
  <si>
    <t>V. Vos petites habitudes</t>
  </si>
  <si>
    <t>* Indiquez 0 si vous ne mangez pas chez vous à midi</t>
  </si>
  <si>
    <t>* Indiquez 0 si vous ne covoiturez pas</t>
  </si>
  <si>
    <t>* Indiquez le montant du péage si vous prenez l'autoroute, 0 si vous ne prenez pas l'autoroute</t>
  </si>
  <si>
    <t>VI. Vos dépenses</t>
  </si>
  <si>
    <t>* Nombre de passagers incluant le conducteur quand vous covoiturez</t>
  </si>
  <si>
    <t>Nombre de trajets en covoiturage</t>
  </si>
  <si>
    <t>Trajets évités</t>
  </si>
  <si>
    <t>Equivalent trajet</t>
  </si>
  <si>
    <t>Assomption covoiturage: les covoiturés utilisent à tour de rôle leur véhicule</t>
  </si>
  <si>
    <t>Le calculateur de coût n'inclut pas le distance supplémentaire nécessaire pour récupérer les différents covoiturés</t>
  </si>
  <si>
    <t>1b. Covoiturage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</si>
</sst>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u val="single"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color indexed="17"/>
      <name val="Calibri"/>
      <family val="2"/>
    </font>
    <font>
      <i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sz val="20"/>
      <color indexed="30"/>
      <name val="Calibri"/>
      <family val="2"/>
    </font>
    <font>
      <sz val="10"/>
      <color indexed="17"/>
      <name val="Calibri"/>
      <family val="2"/>
    </font>
    <font>
      <b/>
      <sz val="18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u val="single"/>
      <sz val="10"/>
      <color indexed="10"/>
      <name val="Calibri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8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b/>
      <sz val="11"/>
      <color rgb="FF0070C0"/>
      <name val="Calibri"/>
      <family val="2"/>
    </font>
    <font>
      <sz val="10"/>
      <color rgb="FF00B050"/>
      <name val="Calibri"/>
      <family val="2"/>
    </font>
    <font>
      <b/>
      <sz val="18"/>
      <color rgb="FFFF0000"/>
      <name val="Calibri"/>
      <family val="2"/>
    </font>
    <font>
      <b/>
      <sz val="18"/>
      <color rgb="FF0070C0"/>
      <name val="Calibri"/>
      <family val="2"/>
    </font>
    <font>
      <b/>
      <sz val="10"/>
      <color rgb="FF0070C0"/>
      <name val="Calibri"/>
      <family val="2"/>
    </font>
    <font>
      <b/>
      <u val="single"/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8"/>
      <color rgb="FF00B050"/>
      <name val="Calibri"/>
      <family val="2"/>
    </font>
    <font>
      <b/>
      <sz val="20"/>
      <color rgb="FF0070C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44" fontId="3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44" fontId="5" fillId="34" borderId="10" xfId="44" applyFont="1" applyFill="1" applyBorder="1" applyAlignment="1">
      <alignment/>
    </xf>
    <xf numFmtId="0" fontId="8" fillId="0" borderId="0" xfId="0" applyFont="1" applyAlignment="1">
      <alignment/>
    </xf>
    <xf numFmtId="44" fontId="5" fillId="33" borderId="10" xfId="44" applyFont="1" applyFill="1" applyBorder="1" applyAlignment="1">
      <alignment/>
    </xf>
    <xf numFmtId="44" fontId="5" fillId="0" borderId="0" xfId="0" applyNumberFormat="1" applyFont="1" applyAlignment="1">
      <alignment/>
    </xf>
    <xf numFmtId="9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4" fontId="5" fillId="0" borderId="0" xfId="0" applyNumberFormat="1" applyFont="1" applyAlignment="1" quotePrefix="1">
      <alignment/>
    </xf>
    <xf numFmtId="44" fontId="5" fillId="0" borderId="0" xfId="49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4" fontId="5" fillId="0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4" fontId="5" fillId="33" borderId="10" xfId="49" applyFont="1" applyFill="1" applyBorder="1" applyAlignment="1">
      <alignment/>
    </xf>
    <xf numFmtId="0" fontId="58" fillId="0" borderId="0" xfId="46" applyAlignment="1" applyProtection="1">
      <alignment/>
      <protection/>
    </xf>
    <xf numFmtId="44" fontId="5" fillId="33" borderId="10" xfId="49" applyFont="1" applyFill="1" applyBorder="1" applyAlignment="1">
      <alignment horizontal="center"/>
    </xf>
    <xf numFmtId="44" fontId="5" fillId="0" borderId="0" xfId="44" applyFont="1" applyAlignment="1">
      <alignment/>
    </xf>
    <xf numFmtId="9" fontId="5" fillId="33" borderId="10" xfId="0" applyNumberFormat="1" applyFont="1" applyFill="1" applyBorder="1" applyAlignment="1">
      <alignment/>
    </xf>
    <xf numFmtId="44" fontId="5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4" fontId="5" fillId="0" borderId="0" xfId="44" applyFont="1" applyFill="1" applyBorder="1" applyAlignment="1">
      <alignment/>
    </xf>
    <xf numFmtId="44" fontId="20" fillId="34" borderId="10" xfId="44" applyFont="1" applyFill="1" applyBorder="1" applyAlignment="1">
      <alignment/>
    </xf>
    <xf numFmtId="0" fontId="21" fillId="0" borderId="0" xfId="0" applyFont="1" applyAlignment="1">
      <alignment/>
    </xf>
    <xf numFmtId="44" fontId="20" fillId="34" borderId="10" xfId="44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22" fillId="0" borderId="0" xfId="0" applyFont="1" applyAlignment="1">
      <alignment/>
    </xf>
    <xf numFmtId="44" fontId="5" fillId="34" borderId="10" xfId="44" applyNumberFormat="1" applyFont="1" applyFill="1" applyBorder="1" applyAlignment="1">
      <alignment/>
    </xf>
    <xf numFmtId="44" fontId="74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5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76" fillId="0" borderId="0" xfId="0" applyFont="1" applyAlignment="1">
      <alignment/>
    </xf>
    <xf numFmtId="0" fontId="28" fillId="0" borderId="0" xfId="0" applyFont="1" applyAlignment="1">
      <alignment/>
    </xf>
    <xf numFmtId="44" fontId="69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6" fontId="69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78" fillId="0" borderId="0" xfId="0" applyFont="1" applyFill="1" applyAlignment="1">
      <alignment/>
    </xf>
    <xf numFmtId="2" fontId="78" fillId="0" borderId="0" xfId="0" applyNumberFormat="1" applyFont="1" applyAlignment="1">
      <alignment/>
    </xf>
    <xf numFmtId="0" fontId="78" fillId="0" borderId="0" xfId="0" applyFont="1" applyBorder="1" applyAlignment="1">
      <alignment/>
    </xf>
    <xf numFmtId="44" fontId="74" fillId="0" borderId="0" xfId="0" applyNumberFormat="1" applyFont="1" applyFill="1" applyBorder="1" applyAlignment="1">
      <alignment/>
    </xf>
    <xf numFmtId="0" fontId="79" fillId="0" borderId="0" xfId="0" applyFont="1" applyAlignment="1">
      <alignment/>
    </xf>
    <xf numFmtId="44" fontId="79" fillId="0" borderId="0" xfId="0" applyNumberFormat="1" applyFont="1" applyAlignment="1">
      <alignment/>
    </xf>
    <xf numFmtId="44" fontId="78" fillId="0" borderId="0" xfId="0" applyNumberFormat="1" applyFont="1" applyAlignment="1">
      <alignment/>
    </xf>
    <xf numFmtId="0" fontId="29" fillId="0" borderId="0" xfId="0" applyFont="1" applyAlignment="1">
      <alignment/>
    </xf>
    <xf numFmtId="165" fontId="77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78" fillId="6" borderId="10" xfId="0" applyFont="1" applyFill="1" applyBorder="1" applyAlignment="1">
      <alignment/>
    </xf>
    <xf numFmtId="0" fontId="77" fillId="6" borderId="10" xfId="0" applyFont="1" applyFill="1" applyBorder="1" applyAlignment="1">
      <alignment/>
    </xf>
    <xf numFmtId="44" fontId="72" fillId="0" borderId="0" xfId="0" applyNumberFormat="1" applyFont="1" applyAlignment="1">
      <alignment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48" fillId="0" borderId="0" xfId="0" applyFont="1" applyFill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825"/>
          <c:y val="0.2405"/>
          <c:w val="0.28625"/>
          <c:h val="0.66525"/>
        </c:manualLayout>
      </c:layout>
      <c:pieChart>
        <c:varyColors val="1"/>
        <c:ser>
          <c:idx val="0"/>
          <c:order val="0"/>
          <c:tx>
            <c:v>Dépenses mensuelles commutage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'Votre trajet'!$AB$18:$AB$24</c:f>
              <c:strCache/>
            </c:strRef>
          </c:cat>
          <c:val>
            <c:numRef>
              <c:f>'Votre trajet'!$AD$18:$AD$24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25"/>
          <c:y val="0.2655"/>
          <c:w val="0.2235"/>
          <c:h val="0.6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38</xdr:row>
      <xdr:rowOff>0</xdr:rowOff>
    </xdr:from>
    <xdr:to>
      <xdr:col>7</xdr:col>
      <xdr:colOff>428625</xdr:colOff>
      <xdr:row>54</xdr:row>
      <xdr:rowOff>114300</xdr:rowOff>
    </xdr:to>
    <xdr:graphicFrame>
      <xdr:nvGraphicFramePr>
        <xdr:cNvPr id="1" name="Graphique 1"/>
        <xdr:cNvGraphicFramePr/>
      </xdr:nvGraphicFramePr>
      <xdr:xfrm>
        <a:off x="457200" y="8382000"/>
        <a:ext cx="61817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3" width="11.421875" style="2" customWidth="1"/>
    <col min="4" max="4" width="11.57421875" style="2" bestFit="1" customWidth="1"/>
    <col min="5" max="6" width="11.421875" style="2" customWidth="1"/>
    <col min="7" max="8" width="11.57421875" style="2" bestFit="1" customWidth="1"/>
    <col min="9" max="9" width="11.421875" style="2" customWidth="1"/>
    <col min="10" max="12" width="11.421875" style="2" hidden="1" customWidth="1"/>
    <col min="13" max="13" width="11.57421875" style="2" hidden="1" customWidth="1"/>
    <col min="14" max="16384" width="11.421875" style="2" customWidth="1"/>
  </cols>
  <sheetData>
    <row r="1" spans="1:5" ht="15.75">
      <c r="A1" s="1" t="s">
        <v>0</v>
      </c>
      <c r="E1" s="3" t="s">
        <v>1</v>
      </c>
    </row>
    <row r="2" ht="12.75">
      <c r="E2" s="3" t="s">
        <v>2</v>
      </c>
    </row>
    <row r="4" ht="23.25">
      <c r="A4" s="23" t="s">
        <v>67</v>
      </c>
    </row>
    <row r="6" spans="1:11" ht="12.75">
      <c r="A6" s="2" t="s">
        <v>3</v>
      </c>
      <c r="D6" s="10">
        <v>16000</v>
      </c>
      <c r="J6" s="2" t="s">
        <v>7</v>
      </c>
      <c r="K6" s="27">
        <f>D8*(D9/12)/(1-(1+(D9/12))^-(D10*12))*(D10*12)+D11</f>
        <v>12275.284659818093</v>
      </c>
    </row>
    <row r="7" spans="10:11" ht="12.75">
      <c r="J7" s="2" t="s">
        <v>20</v>
      </c>
      <c r="K7" s="20">
        <f>K6+D6-D8</f>
        <v>18275.28465981809</v>
      </c>
    </row>
    <row r="8" spans="1:11" ht="12.75">
      <c r="A8" s="2" t="s">
        <v>19</v>
      </c>
      <c r="D8" s="10">
        <v>10000</v>
      </c>
      <c r="E8" s="14"/>
      <c r="F8" s="40" t="s">
        <v>21</v>
      </c>
      <c r="J8" s="2" t="s">
        <v>9</v>
      </c>
      <c r="K8" s="11">
        <f>K7-D13</f>
        <v>17275.28465981809</v>
      </c>
    </row>
    <row r="9" spans="1:13" ht="12.75">
      <c r="A9" s="2" t="s">
        <v>4</v>
      </c>
      <c r="D9" s="28">
        <v>0.07</v>
      </c>
      <c r="E9" s="14"/>
      <c r="F9" s="40" t="s">
        <v>22</v>
      </c>
      <c r="I9" s="9"/>
      <c r="J9" s="2" t="s">
        <v>11</v>
      </c>
      <c r="M9" s="29">
        <f>K8/D14</f>
        <v>0.08637642329909045</v>
      </c>
    </row>
    <row r="10" spans="1:12" ht="12.75">
      <c r="A10" s="2" t="s">
        <v>5</v>
      </c>
      <c r="D10" s="7">
        <v>6</v>
      </c>
      <c r="E10" s="14"/>
      <c r="F10" s="40" t="s">
        <v>23</v>
      </c>
      <c r="I10" s="9"/>
      <c r="J10" s="9"/>
      <c r="K10" s="9"/>
      <c r="L10" s="9"/>
    </row>
    <row r="11" spans="1:12" ht="12.75">
      <c r="A11" s="2" t="s">
        <v>6</v>
      </c>
      <c r="D11" s="7">
        <v>0</v>
      </c>
      <c r="E11" s="14"/>
      <c r="F11" s="40"/>
      <c r="I11" s="9"/>
      <c r="J11" s="9"/>
      <c r="K11" s="9"/>
      <c r="L11" s="9"/>
    </row>
    <row r="12" spans="4:6" ht="12.75">
      <c r="D12" s="30"/>
      <c r="E12" s="14"/>
      <c r="F12" s="40"/>
    </row>
    <row r="13" spans="1:6" ht="12.75">
      <c r="A13" s="2" t="s">
        <v>8</v>
      </c>
      <c r="D13" s="10">
        <v>1000</v>
      </c>
      <c r="E13" s="14"/>
      <c r="F13" s="41" t="s">
        <v>24</v>
      </c>
    </row>
    <row r="14" spans="1:9" ht="12.75">
      <c r="A14" s="2" t="s">
        <v>10</v>
      </c>
      <c r="D14" s="31">
        <v>200000</v>
      </c>
      <c r="F14" s="40" t="s">
        <v>25</v>
      </c>
      <c r="I14" s="9"/>
    </row>
    <row r="15" spans="1:9" ht="12.75">
      <c r="A15" s="2" t="s">
        <v>44</v>
      </c>
      <c r="D15" s="31">
        <v>14000</v>
      </c>
      <c r="I15" s="9"/>
    </row>
    <row r="16" ht="12.75">
      <c r="D16" s="30"/>
    </row>
    <row r="17" spans="1:4" ht="23.25">
      <c r="A17" s="23" t="s">
        <v>68</v>
      </c>
      <c r="D17" s="32"/>
    </row>
    <row r="19" spans="1:13" ht="12.75">
      <c r="A19" s="2" t="s">
        <v>12</v>
      </c>
      <c r="D19" s="24">
        <v>500</v>
      </c>
      <c r="J19" s="2" t="s">
        <v>13</v>
      </c>
      <c r="M19" s="8">
        <f>D19/D15</f>
        <v>0.03571428571428571</v>
      </c>
    </row>
    <row r="20" ht="12.75">
      <c r="D20" s="30"/>
    </row>
    <row r="22" ht="23.25">
      <c r="A22" s="23" t="s">
        <v>69</v>
      </c>
    </row>
    <row r="24" spans="1:13" ht="12.75">
      <c r="A24" s="2" t="s">
        <v>26</v>
      </c>
      <c r="D24" s="24">
        <v>700</v>
      </c>
      <c r="J24" s="2" t="s">
        <v>15</v>
      </c>
      <c r="M24" s="33">
        <f>D24/D15</f>
        <v>0.05</v>
      </c>
    </row>
    <row r="25" ht="15.75">
      <c r="H25" s="34"/>
    </row>
    <row r="27" spans="1:6" ht="23.25">
      <c r="A27" s="23" t="s">
        <v>70</v>
      </c>
      <c r="F27" s="40"/>
    </row>
    <row r="28" ht="12.75">
      <c r="F28" s="40"/>
    </row>
    <row r="29" spans="1:6" ht="12.75">
      <c r="A29" s="42" t="s">
        <v>33</v>
      </c>
      <c r="F29" s="40"/>
    </row>
    <row r="30" ht="12.75">
      <c r="F30" s="40"/>
    </row>
    <row r="31" spans="1:14" ht="12.75">
      <c r="A31" s="2" t="s">
        <v>27</v>
      </c>
      <c r="D31" s="7">
        <v>10</v>
      </c>
      <c r="F31" s="40" t="s">
        <v>34</v>
      </c>
      <c r="J31" s="2" t="s">
        <v>32</v>
      </c>
      <c r="M31" s="35">
        <f>D31*D32/D15</f>
        <v>0.002857142857142857</v>
      </c>
      <c r="N31" s="36"/>
    </row>
    <row r="32" spans="1:6" ht="12.75">
      <c r="A32" s="2" t="s">
        <v>14</v>
      </c>
      <c r="D32" s="24">
        <v>4</v>
      </c>
      <c r="F32" s="40" t="s">
        <v>28</v>
      </c>
    </row>
    <row r="33" spans="1:6" ht="12.75">
      <c r="A33" s="37"/>
      <c r="F33" s="40"/>
    </row>
    <row r="34" ht="12.75">
      <c r="F34" s="40"/>
    </row>
    <row r="35" spans="1:6" ht="12.75">
      <c r="A35" s="42" t="s">
        <v>29</v>
      </c>
      <c r="F35" s="40"/>
    </row>
    <row r="36" ht="12.75">
      <c r="F36" s="40"/>
    </row>
    <row r="37" spans="1:13" ht="12.75">
      <c r="A37" s="2" t="s">
        <v>16</v>
      </c>
      <c r="D37" s="24">
        <v>130</v>
      </c>
      <c r="F37" s="40" t="s">
        <v>30</v>
      </c>
      <c r="M37" s="35">
        <f>D37/D38/D14</f>
        <v>0.00021666666666666668</v>
      </c>
    </row>
    <row r="38" spans="1:6" ht="12.75">
      <c r="A38" s="2" t="s">
        <v>40</v>
      </c>
      <c r="D38" s="7">
        <v>3</v>
      </c>
      <c r="F38" s="40" t="s">
        <v>31</v>
      </c>
    </row>
    <row r="39" ht="12.75">
      <c r="F39" s="40"/>
    </row>
    <row r="40" spans="1:13" ht="12.75">
      <c r="A40" s="2" t="s">
        <v>39</v>
      </c>
      <c r="D40" s="24">
        <v>11</v>
      </c>
      <c r="F40" s="40" t="s">
        <v>41</v>
      </c>
      <c r="M40" s="35">
        <f>D40*D41/D14</f>
        <v>0.00011</v>
      </c>
    </row>
    <row r="41" spans="1:13" ht="12.75">
      <c r="A41" s="2" t="s">
        <v>40</v>
      </c>
      <c r="D41" s="7">
        <v>2</v>
      </c>
      <c r="F41" s="40" t="s">
        <v>42</v>
      </c>
      <c r="M41" s="11"/>
    </row>
    <row r="43" spans="1:13" ht="12.75">
      <c r="A43" s="42" t="s">
        <v>71</v>
      </c>
      <c r="F43" s="40"/>
      <c r="H43" s="9"/>
      <c r="J43" s="2" t="s">
        <v>18</v>
      </c>
      <c r="M43" s="38">
        <f>IF(D46="OUI",D45/2/D15,0)</f>
        <v>0.0035714285714285713</v>
      </c>
    </row>
    <row r="45" spans="1:6" ht="12.75">
      <c r="A45" s="2" t="s">
        <v>17</v>
      </c>
      <c r="D45" s="24">
        <v>100</v>
      </c>
      <c r="F45" s="40" t="s">
        <v>35</v>
      </c>
    </row>
    <row r="46" spans="1:13" ht="12.75">
      <c r="A46" s="2" t="s">
        <v>37</v>
      </c>
      <c r="D46" s="26" t="s">
        <v>36</v>
      </c>
      <c r="F46" s="40" t="s">
        <v>38</v>
      </c>
      <c r="J46" s="2" t="s">
        <v>43</v>
      </c>
      <c r="M46" s="39">
        <f>SUM(M9:M43)</f>
        <v>0.17884594710861426</v>
      </c>
    </row>
    <row r="47" ht="12.75">
      <c r="F47" s="40"/>
    </row>
    <row r="48" ht="12.75">
      <c r="F48" s="40"/>
    </row>
    <row r="49" ht="12.75">
      <c r="F49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zoomScalePageLayoutView="0" workbookViewId="0" topLeftCell="A25">
      <selection activeCell="J33" sqref="J33:J34"/>
    </sheetView>
  </sheetViews>
  <sheetFormatPr defaultColWidth="11.421875" defaultRowHeight="15"/>
  <cols>
    <col min="1" max="2" width="11.421875" style="51" customWidth="1"/>
    <col min="3" max="3" width="24.57421875" style="51" customWidth="1"/>
    <col min="4" max="4" width="15.7109375" style="51" bestFit="1" customWidth="1"/>
    <col min="5" max="5" width="7.140625" style="51" customWidth="1"/>
    <col min="6" max="11" width="11.421875" style="51" customWidth="1"/>
    <col min="12" max="12" width="47.7109375" style="51" customWidth="1"/>
    <col min="13" max="17" width="11.421875" style="51" customWidth="1"/>
    <col min="18" max="16384" width="11.421875" style="51" customWidth="1"/>
  </cols>
  <sheetData>
    <row r="1" spans="1:27" ht="23.25">
      <c r="A1" s="22" t="s">
        <v>0</v>
      </c>
      <c r="B1" s="2"/>
      <c r="C1" s="2"/>
      <c r="D1" s="2"/>
      <c r="E1" s="2"/>
      <c r="F1" s="3" t="s">
        <v>51</v>
      </c>
      <c r="G1" s="2"/>
      <c r="AA1" s="2"/>
    </row>
    <row r="2" spans="1:27" ht="12.75">
      <c r="A2" s="2"/>
      <c r="B2" s="2"/>
      <c r="C2" s="2"/>
      <c r="D2" s="2"/>
      <c r="E2" s="2"/>
      <c r="F2" s="3"/>
      <c r="G2" s="2"/>
      <c r="AA2" s="2"/>
    </row>
    <row r="3" spans="1:7" ht="23.25">
      <c r="A3" s="23" t="s">
        <v>54</v>
      </c>
      <c r="B3" s="2"/>
      <c r="C3" s="2"/>
      <c r="D3" s="2"/>
      <c r="E3" s="2"/>
      <c r="F3" s="6"/>
      <c r="G3" s="2"/>
    </row>
    <row r="4" spans="1:31" ht="12.75">
      <c r="A4" s="2"/>
      <c r="B4" s="2"/>
      <c r="C4" s="2"/>
      <c r="D4" s="2"/>
      <c r="E4" s="2"/>
      <c r="F4" s="4"/>
      <c r="G4" s="4"/>
      <c r="H4" s="53"/>
      <c r="I4" s="53"/>
      <c r="J4" s="53"/>
      <c r="AE4" s="51" t="s">
        <v>61</v>
      </c>
    </row>
    <row r="5" spans="1:32" ht="15.75">
      <c r="A5" s="2" t="s">
        <v>45</v>
      </c>
      <c r="B5" s="2"/>
      <c r="C5" s="2"/>
      <c r="D5" s="7">
        <v>6</v>
      </c>
      <c r="E5" s="2"/>
      <c r="F5" s="69" t="s">
        <v>52</v>
      </c>
      <c r="G5" s="4"/>
      <c r="H5" s="53"/>
      <c r="J5" s="53"/>
      <c r="AD5" s="51" t="s">
        <v>57</v>
      </c>
      <c r="AE5" s="51">
        <v>2.67</v>
      </c>
      <c r="AF5" s="51">
        <f>IF(D$7="DIESEL",2.67,0)</f>
        <v>2.67</v>
      </c>
    </row>
    <row r="6" spans="1:32" ht="15.75">
      <c r="A6" s="2" t="s">
        <v>46</v>
      </c>
      <c r="B6" s="2"/>
      <c r="C6" s="2"/>
      <c r="D6" s="24">
        <v>1.2</v>
      </c>
      <c r="E6" s="2"/>
      <c r="F6" s="69" t="s">
        <v>49</v>
      </c>
      <c r="G6" s="4"/>
      <c r="H6" s="53"/>
      <c r="J6" s="53"/>
      <c r="AD6" s="51" t="s">
        <v>62</v>
      </c>
      <c r="AE6" s="51">
        <v>2.67</v>
      </c>
      <c r="AF6" s="51">
        <f>IF(D$7="GASOIL",2.67,0)</f>
        <v>0</v>
      </c>
    </row>
    <row r="7" spans="1:32" ht="15.75">
      <c r="A7" s="2" t="s">
        <v>56</v>
      </c>
      <c r="B7" s="2"/>
      <c r="C7" s="2"/>
      <c r="D7" s="26" t="s">
        <v>59</v>
      </c>
      <c r="E7" s="2"/>
      <c r="F7" s="69" t="s">
        <v>66</v>
      </c>
      <c r="G7" s="4"/>
      <c r="H7" s="53"/>
      <c r="J7" s="53"/>
      <c r="AD7" s="51" t="s">
        <v>63</v>
      </c>
      <c r="AE7" s="51">
        <v>2.67</v>
      </c>
      <c r="AF7" s="51">
        <f>IF(D$7="GAZOLE",2.67,0)</f>
        <v>0</v>
      </c>
    </row>
    <row r="8" spans="6:32" ht="15.75">
      <c r="F8" s="69"/>
      <c r="G8" s="4"/>
      <c r="H8" s="53"/>
      <c r="K8" s="2"/>
      <c r="AA8" s="2" t="s">
        <v>47</v>
      </c>
      <c r="AB8" s="8">
        <f>D5*D6/100</f>
        <v>0.072</v>
      </c>
      <c r="AD8" s="51" t="s">
        <v>60</v>
      </c>
      <c r="AE8" s="51">
        <v>2.28</v>
      </c>
      <c r="AF8" s="51">
        <f>IF(D$7="ESSENCE",2.28,0)</f>
        <v>0</v>
      </c>
    </row>
    <row r="9" spans="1:31" ht="26.25">
      <c r="A9" s="68" t="s">
        <v>55</v>
      </c>
      <c r="E9" s="2"/>
      <c r="F9" s="69"/>
      <c r="G9" s="4"/>
      <c r="H9" s="53"/>
      <c r="AA9" s="51" t="s">
        <v>50</v>
      </c>
      <c r="AB9" s="8">
        <f>SUM('Votre véhicule'!M46)</f>
        <v>0.17884594710861426</v>
      </c>
      <c r="AD9" s="51" t="s">
        <v>64</v>
      </c>
      <c r="AE9" s="54">
        <f>(AE5+AE8)/2</f>
        <v>2.4749999999999996</v>
      </c>
    </row>
    <row r="10" spans="1:10" ht="15.75">
      <c r="A10" s="9"/>
      <c r="E10" s="2"/>
      <c r="F10" s="70"/>
      <c r="G10" s="4"/>
      <c r="H10" s="53"/>
      <c r="J10" s="53"/>
    </row>
    <row r="11" spans="1:32" ht="15.75">
      <c r="A11" s="2" t="s">
        <v>122</v>
      </c>
      <c r="B11" s="2"/>
      <c r="C11" s="2"/>
      <c r="D11" s="7">
        <v>15</v>
      </c>
      <c r="F11" s="71" t="s">
        <v>53</v>
      </c>
      <c r="G11" s="4"/>
      <c r="H11" s="4"/>
      <c r="I11" s="2"/>
      <c r="J11" s="53"/>
      <c r="AD11" s="51" t="s">
        <v>65</v>
      </c>
      <c r="AF11" s="42">
        <f>IF(SUM(AF5:AF8)&gt;0,SUM(AF5:AF8),2.48)</f>
        <v>2.67</v>
      </c>
    </row>
    <row r="12" spans="1:10" ht="15.75">
      <c r="A12" s="2" t="s">
        <v>48</v>
      </c>
      <c r="D12" s="10">
        <v>1</v>
      </c>
      <c r="F12" s="72" t="s">
        <v>147</v>
      </c>
      <c r="G12" s="53"/>
      <c r="H12" s="2"/>
      <c r="I12" s="2"/>
      <c r="J12" s="53"/>
    </row>
    <row r="13" spans="1:27" ht="15.75">
      <c r="A13" s="2" t="s">
        <v>134</v>
      </c>
      <c r="B13" s="2"/>
      <c r="C13" s="2"/>
      <c r="D13" s="10">
        <v>30</v>
      </c>
      <c r="F13" s="71" t="s">
        <v>135</v>
      </c>
      <c r="G13" s="53"/>
      <c r="H13" s="2"/>
      <c r="I13" s="2"/>
      <c r="J13" s="4"/>
      <c r="K13" s="2"/>
      <c r="AA13" s="2"/>
    </row>
    <row r="14" spans="6:27" ht="15.75">
      <c r="F14" s="70"/>
      <c r="H14" s="2"/>
      <c r="I14" s="2"/>
      <c r="J14" s="2"/>
      <c r="K14" s="2"/>
      <c r="AA14" s="2"/>
    </row>
    <row r="15" spans="6:27" ht="15.75">
      <c r="F15" s="70"/>
      <c r="J15" s="2"/>
      <c r="K15" s="2"/>
      <c r="AA15" s="2"/>
    </row>
    <row r="16" spans="1:27" ht="26.25">
      <c r="A16" s="68" t="s">
        <v>141</v>
      </c>
      <c r="F16" s="70"/>
      <c r="J16" s="2"/>
      <c r="K16" s="2"/>
      <c r="AA16" s="2"/>
    </row>
    <row r="17" spans="6:30" ht="15.75">
      <c r="F17" s="70"/>
      <c r="J17" s="2"/>
      <c r="K17" s="2"/>
      <c r="AA17" s="2"/>
      <c r="AC17" s="51" t="s">
        <v>139</v>
      </c>
      <c r="AD17" s="51" t="s">
        <v>140</v>
      </c>
    </row>
    <row r="18" spans="1:31" ht="15.75">
      <c r="A18" s="18" t="s">
        <v>123</v>
      </c>
      <c r="D18" s="7">
        <v>1</v>
      </c>
      <c r="F18" s="71" t="s">
        <v>124</v>
      </c>
      <c r="J18" s="2"/>
      <c r="K18" s="2"/>
      <c r="AA18" s="18" t="s">
        <v>116</v>
      </c>
      <c r="AB18" s="40" t="s">
        <v>108</v>
      </c>
      <c r="AC18" s="47">
        <f>D5*AE41/100*D6</f>
        <v>519.75</v>
      </c>
      <c r="AD18" s="59">
        <f aca="true" t="shared" si="0" ref="AD18:AD24">AC18/12</f>
        <v>43.3125</v>
      </c>
      <c r="AE18" s="40"/>
    </row>
    <row r="19" spans="6:31" ht="15.75">
      <c r="F19" s="70"/>
      <c r="J19" s="2"/>
      <c r="K19" s="2"/>
      <c r="AA19" s="46"/>
      <c r="AB19" s="40" t="s">
        <v>109</v>
      </c>
      <c r="AC19" s="47">
        <f>D12*AE40</f>
        <v>481.25</v>
      </c>
      <c r="AD19" s="59">
        <f t="shared" si="0"/>
        <v>40.104166666666664</v>
      </c>
      <c r="AE19" s="40"/>
    </row>
    <row r="20" spans="1:31" ht="26.25">
      <c r="A20" s="68" t="s">
        <v>142</v>
      </c>
      <c r="F20" s="70"/>
      <c r="J20" s="2"/>
      <c r="K20" s="2"/>
      <c r="AA20" s="18"/>
      <c r="AB20" s="18" t="s">
        <v>118</v>
      </c>
      <c r="AC20" s="48">
        <f>'Votre véhicule'!M9*AE$41</f>
        <v>623.5298056903092</v>
      </c>
      <c r="AD20" s="59">
        <f t="shared" si="0"/>
        <v>51.9608171408591</v>
      </c>
      <c r="AE20" s="18"/>
    </row>
    <row r="21" spans="6:31" ht="15.75">
      <c r="F21" s="70"/>
      <c r="AA21" s="18"/>
      <c r="AB21" s="40" t="s">
        <v>110</v>
      </c>
      <c r="AC21" s="48">
        <f>'Votre véhicule'!M19*AE41</f>
        <v>257.8125</v>
      </c>
      <c r="AD21" s="59">
        <f t="shared" si="0"/>
        <v>21.484375</v>
      </c>
      <c r="AE21" s="18"/>
    </row>
    <row r="22" spans="1:31" ht="15.75">
      <c r="A22" s="51" t="s">
        <v>119</v>
      </c>
      <c r="D22" s="7">
        <v>5</v>
      </c>
      <c r="F22" s="71" t="s">
        <v>143</v>
      </c>
      <c r="J22" s="55"/>
      <c r="K22" s="55"/>
      <c r="AA22" s="18"/>
      <c r="AB22" s="40" t="s">
        <v>111</v>
      </c>
      <c r="AC22" s="48">
        <f>'Votre véhicule'!M24*AE41</f>
        <v>360.9375</v>
      </c>
      <c r="AD22" s="59">
        <f t="shared" si="0"/>
        <v>30.078125</v>
      </c>
      <c r="AE22" s="18"/>
    </row>
    <row r="23" spans="1:31" ht="15.75">
      <c r="A23" s="51" t="s">
        <v>120</v>
      </c>
      <c r="D23" s="7">
        <v>5</v>
      </c>
      <c r="F23" s="70"/>
      <c r="J23" s="55"/>
      <c r="K23" s="55"/>
      <c r="AA23" s="18"/>
      <c r="AB23" s="40" t="s">
        <v>114</v>
      </c>
      <c r="AC23" s="49">
        <f>D13*12</f>
        <v>360</v>
      </c>
      <c r="AD23" s="59">
        <f t="shared" si="0"/>
        <v>30</v>
      </c>
      <c r="AE23" s="18"/>
    </row>
    <row r="24" spans="1:31" ht="15.75">
      <c r="A24" s="51" t="s">
        <v>121</v>
      </c>
      <c r="D24" s="7">
        <v>2</v>
      </c>
      <c r="F24" s="70"/>
      <c r="J24" s="55"/>
      <c r="K24" s="55"/>
      <c r="AA24" s="18"/>
      <c r="AB24" s="40" t="s">
        <v>117</v>
      </c>
      <c r="AC24" s="47">
        <f>D35*12-SUM(AC18:AC23)</f>
        <v>48.764374999999745</v>
      </c>
      <c r="AD24" s="59">
        <f t="shared" si="0"/>
        <v>4.063697916666645</v>
      </c>
      <c r="AE24" s="40" t="s">
        <v>115</v>
      </c>
    </row>
    <row r="25" spans="6:31" ht="15.75">
      <c r="F25" s="70"/>
      <c r="J25" s="14"/>
      <c r="K25" s="14"/>
      <c r="AE25" s="2"/>
    </row>
    <row r="26" spans="1:11" ht="26.25">
      <c r="A26" s="68" t="s">
        <v>144</v>
      </c>
      <c r="F26" s="70"/>
      <c r="J26" s="14"/>
      <c r="K26" s="14"/>
    </row>
    <row r="27" spans="6:11" ht="15.75">
      <c r="F27" s="70"/>
      <c r="J27" s="14"/>
      <c r="K27" s="14"/>
    </row>
    <row r="28" spans="1:28" ht="15.75">
      <c r="A28" s="51" t="s">
        <v>125</v>
      </c>
      <c r="D28" s="7">
        <v>2</v>
      </c>
      <c r="F28" s="71" t="s">
        <v>145</v>
      </c>
      <c r="J28" s="14"/>
      <c r="K28" s="14"/>
      <c r="AB28" s="2"/>
    </row>
    <row r="29" spans="1:28" ht="15.75">
      <c r="A29" s="51" t="s">
        <v>130</v>
      </c>
      <c r="D29" s="7">
        <v>1</v>
      </c>
      <c r="F29" s="71" t="s">
        <v>146</v>
      </c>
      <c r="J29" s="14"/>
      <c r="K29" s="14"/>
      <c r="AB29" s="2"/>
    </row>
    <row r="30" spans="1:11" ht="15.75">
      <c r="A30" s="51" t="s">
        <v>131</v>
      </c>
      <c r="D30" s="7">
        <v>2</v>
      </c>
      <c r="F30" s="71" t="s">
        <v>149</v>
      </c>
      <c r="J30" s="55"/>
      <c r="K30" s="55"/>
    </row>
    <row r="31" spans="10:33" ht="12.75">
      <c r="J31" s="14"/>
      <c r="K31" s="14"/>
      <c r="AA31" s="2"/>
      <c r="AB31" s="51" t="s">
        <v>128</v>
      </c>
      <c r="AE31" s="63">
        <f>((365.25-10)/7)-(D23+D24)</f>
        <v>43.75</v>
      </c>
      <c r="AG31" s="51" t="s">
        <v>127</v>
      </c>
    </row>
    <row r="32" spans="10:31" ht="12.75">
      <c r="J32" s="14"/>
      <c r="K32" s="14"/>
      <c r="AA32" s="2"/>
      <c r="AB32" s="51" t="s">
        <v>126</v>
      </c>
      <c r="AE32" s="63">
        <f>AE31*(D22-D18)</f>
        <v>175</v>
      </c>
    </row>
    <row r="33" spans="1:31" ht="26.25">
      <c r="A33" s="68" t="s">
        <v>148</v>
      </c>
      <c r="K33" s="14"/>
      <c r="AA33" s="2"/>
      <c r="AB33" s="51" t="s">
        <v>129</v>
      </c>
      <c r="AE33" s="64">
        <f>(AE31*D28)*2+AE32*2</f>
        <v>525</v>
      </c>
    </row>
    <row r="34" spans="11:31" ht="12.75">
      <c r="K34" s="14"/>
      <c r="AA34" s="2"/>
      <c r="AB34" s="2" t="s">
        <v>150</v>
      </c>
      <c r="AE34" s="51">
        <f>AE31*D29*2</f>
        <v>87.5</v>
      </c>
    </row>
    <row r="35" spans="1:31" ht="23.25">
      <c r="A35" s="22" t="s">
        <v>137</v>
      </c>
      <c r="D35" s="65">
        <f>((AB8+AB9)*AE41+D13*12+AE40*D12)/12</f>
        <v>221.00368172419243</v>
      </c>
      <c r="E35" s="22" t="s">
        <v>138</v>
      </c>
      <c r="J35" s="2"/>
      <c r="K35" s="2"/>
      <c r="AA35" s="2"/>
      <c r="AB35" s="51" t="s">
        <v>152</v>
      </c>
      <c r="AE35" s="51">
        <f>AE34/D30</f>
        <v>43.75</v>
      </c>
    </row>
    <row r="36" spans="1:31" ht="23.25">
      <c r="A36" s="66" t="s">
        <v>58</v>
      </c>
      <c r="D36" s="67">
        <f>AE41*D5/100*AF11/12</f>
        <v>96.3703125</v>
      </c>
      <c r="E36" s="66" t="s">
        <v>136</v>
      </c>
      <c r="J36" s="2"/>
      <c r="K36" s="2"/>
      <c r="AA36" s="2"/>
      <c r="AB36" s="51" t="s">
        <v>151</v>
      </c>
      <c r="AE36" s="51">
        <f>AE34-AE35</f>
        <v>43.75</v>
      </c>
    </row>
    <row r="37" spans="10:28" ht="12.75">
      <c r="J37" s="2"/>
      <c r="K37" s="2"/>
      <c r="AA37" s="2"/>
      <c r="AB37" s="2"/>
    </row>
    <row r="38" spans="10:30" ht="12.75">
      <c r="J38" s="2"/>
      <c r="K38" s="2"/>
      <c r="AA38" s="2"/>
      <c r="AB38" s="2"/>
      <c r="AC38" s="2"/>
      <c r="AD38" s="2"/>
    </row>
    <row r="39" spans="10:30" ht="12.75">
      <c r="J39" s="2"/>
      <c r="K39" s="2"/>
      <c r="AA39" s="2"/>
      <c r="AB39" s="2"/>
      <c r="AC39" s="2"/>
      <c r="AD39" s="2"/>
    </row>
    <row r="40" spans="10:31" ht="12.75">
      <c r="J40" s="2"/>
      <c r="K40" s="2"/>
      <c r="AA40" s="2"/>
      <c r="AB40" s="51" t="s">
        <v>132</v>
      </c>
      <c r="AE40" s="50">
        <f>AE33-AE36</f>
        <v>481.25</v>
      </c>
    </row>
    <row r="41" spans="10:31" ht="12.75">
      <c r="J41" s="2"/>
      <c r="K41" s="2"/>
      <c r="L41" s="16"/>
      <c r="M41" s="2"/>
      <c r="O41" s="2"/>
      <c r="AB41" s="51" t="s">
        <v>133</v>
      </c>
      <c r="AE41" s="51">
        <f>AE40*D11</f>
        <v>7218.75</v>
      </c>
    </row>
    <row r="42" spans="10:15" ht="12.75">
      <c r="J42" s="2"/>
      <c r="K42" s="2"/>
      <c r="L42" s="16"/>
      <c r="M42" s="2"/>
      <c r="O42" s="2"/>
    </row>
    <row r="43" spans="10:15" ht="12.75">
      <c r="J43" s="2"/>
      <c r="K43" s="2"/>
      <c r="L43" s="16"/>
      <c r="M43" s="2"/>
      <c r="N43" s="2"/>
      <c r="O43" s="2"/>
    </row>
    <row r="44" spans="10:15" ht="12.75">
      <c r="J44" s="2"/>
      <c r="K44" s="2"/>
      <c r="L44" s="16"/>
      <c r="M44" s="2"/>
      <c r="N44" s="2"/>
      <c r="O44" s="2"/>
    </row>
    <row r="45" spans="10:15" ht="12.75">
      <c r="J45" s="2"/>
      <c r="K45" s="2"/>
      <c r="L45" s="16"/>
      <c r="M45" s="2"/>
      <c r="N45" s="2"/>
      <c r="O45" s="2"/>
    </row>
    <row r="46" spans="2:15" ht="12.75">
      <c r="B46" s="2"/>
      <c r="C46" s="2"/>
      <c r="J46" s="2"/>
      <c r="K46" s="2"/>
      <c r="L46" s="17"/>
      <c r="M46" s="2"/>
      <c r="N46" s="2"/>
      <c r="O46" s="2"/>
    </row>
    <row r="47" spans="1:15" ht="12.75">
      <c r="A47" s="52"/>
      <c r="B47" s="2"/>
      <c r="C47" s="2"/>
      <c r="D47" s="56"/>
      <c r="J47" s="2"/>
      <c r="K47" s="2"/>
      <c r="L47" s="17"/>
      <c r="M47" s="2"/>
      <c r="N47" s="2"/>
      <c r="O47" s="2"/>
    </row>
    <row r="48" spans="1:15" ht="12.75">
      <c r="A48" s="2"/>
      <c r="B48" s="2"/>
      <c r="C48" s="2"/>
      <c r="F48" s="18"/>
      <c r="J48" s="2"/>
      <c r="K48" s="2"/>
      <c r="L48" s="11"/>
      <c r="M48" s="2"/>
      <c r="N48" s="2"/>
      <c r="O48" s="2"/>
    </row>
    <row r="49" spans="11:12" ht="12.75">
      <c r="K49" s="2"/>
      <c r="L49" s="11"/>
    </row>
    <row r="50" spans="11:12" ht="12.75">
      <c r="K50" s="2"/>
      <c r="L50" s="11"/>
    </row>
    <row r="52" spans="11:12" ht="12.75">
      <c r="K52" s="2"/>
      <c r="L52" s="59"/>
    </row>
    <row r="53" spans="7:9" ht="12.75">
      <c r="G53" s="2"/>
      <c r="H53" s="12"/>
      <c r="I53" s="2"/>
    </row>
    <row r="55" spans="7:9" ht="12.75">
      <c r="G55" s="55"/>
      <c r="H55" s="55"/>
      <c r="I55" s="55"/>
    </row>
    <row r="56" spans="7:9" ht="12.75">
      <c r="G56" s="55"/>
      <c r="H56" s="55"/>
      <c r="I56" s="55"/>
    </row>
    <row r="57" spans="7:9" ht="12.75">
      <c r="G57" s="55"/>
      <c r="H57" s="55"/>
      <c r="I57" s="55"/>
    </row>
    <row r="58" spans="7:9" ht="12.75">
      <c r="G58" s="14"/>
      <c r="H58" s="62"/>
      <c r="I58" s="14"/>
    </row>
    <row r="59" spans="7:9" ht="12.75">
      <c r="G59" s="14"/>
      <c r="H59" s="15"/>
      <c r="I59" s="14"/>
    </row>
    <row r="60" spans="7:9" ht="12.75">
      <c r="G60" s="14"/>
      <c r="H60" s="15"/>
      <c r="I60" s="14"/>
    </row>
    <row r="61" spans="6:9" ht="12.75">
      <c r="F61" s="18"/>
      <c r="G61" s="14"/>
      <c r="H61" s="15"/>
      <c r="I61" s="14"/>
    </row>
    <row r="62" spans="1:9" ht="12.75">
      <c r="A62" s="57"/>
      <c r="B62" s="21"/>
      <c r="C62" s="21"/>
      <c r="D62" s="58"/>
      <c r="F62" s="18"/>
      <c r="G62" s="14"/>
      <c r="H62" s="15"/>
      <c r="I62" s="14"/>
    </row>
    <row r="63" spans="1:9" ht="12.75">
      <c r="A63" s="60"/>
      <c r="B63" s="2"/>
      <c r="C63" s="2"/>
      <c r="D63" s="61"/>
      <c r="E63" s="60"/>
      <c r="G63" s="55"/>
      <c r="H63" s="55"/>
      <c r="I63" s="55"/>
    </row>
    <row r="64" spans="1:9" ht="12.75">
      <c r="A64" s="13"/>
      <c r="B64" s="2"/>
      <c r="C64" s="2"/>
      <c r="E64" s="2"/>
      <c r="G64" s="14"/>
      <c r="H64" s="14"/>
      <c r="I64" s="14"/>
    </row>
    <row r="65" spans="5:9" ht="12.75">
      <c r="E65" s="2"/>
      <c r="G65" s="14"/>
      <c r="H65" s="14"/>
      <c r="I65" s="14"/>
    </row>
    <row r="66" spans="7:9" ht="12.75">
      <c r="G66" s="14"/>
      <c r="H66" s="14"/>
      <c r="I66" s="14"/>
    </row>
    <row r="67" spans="7:9" ht="12.75">
      <c r="G67" s="14"/>
      <c r="H67" s="14"/>
      <c r="I67" s="14"/>
    </row>
    <row r="68" spans="6:9" ht="12.75">
      <c r="F68" s="5"/>
      <c r="G68" s="2"/>
      <c r="H68" s="2"/>
      <c r="I68" s="2"/>
    </row>
    <row r="69" spans="6:9" ht="12.75">
      <c r="F69" s="2"/>
      <c r="G69" s="2"/>
      <c r="H69" s="2"/>
      <c r="I69" s="2"/>
    </row>
    <row r="70" spans="6:9" ht="12.75">
      <c r="F70" s="2"/>
      <c r="G70" s="2"/>
      <c r="H70" s="2"/>
      <c r="I70" s="2"/>
    </row>
    <row r="71" spans="6:9" ht="12.75">
      <c r="F71" s="2"/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6:9" ht="12.75">
      <c r="F74" s="2"/>
      <c r="G74" s="2"/>
      <c r="H74" s="2"/>
      <c r="I74" s="2"/>
    </row>
    <row r="75" spans="5:9" ht="12.75">
      <c r="E75" s="2"/>
      <c r="F75" s="2"/>
      <c r="I75" s="2"/>
    </row>
    <row r="76" spans="5:9" ht="12.75">
      <c r="E76" s="2"/>
      <c r="F76" s="2"/>
      <c r="I76" s="2"/>
    </row>
    <row r="77" spans="5:9" ht="12.75">
      <c r="E77" s="2"/>
      <c r="F77" s="2"/>
      <c r="I77" s="2"/>
    </row>
    <row r="78" spans="5:9" ht="12.75">
      <c r="E78" s="2"/>
      <c r="F78" s="2"/>
      <c r="I78" s="2"/>
    </row>
    <row r="79" spans="5:9" ht="12.75">
      <c r="E79" s="2"/>
      <c r="F79" s="2"/>
      <c r="I79" s="2"/>
    </row>
    <row r="80" spans="5:9" ht="12.75">
      <c r="E80" s="2"/>
      <c r="F80" s="2"/>
      <c r="I80" s="2"/>
    </row>
    <row r="81" spans="5:9" ht="12.75">
      <c r="E81" s="2"/>
      <c r="F81" s="2"/>
      <c r="I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4">
      <selection activeCell="B49" sqref="B49"/>
    </sheetView>
  </sheetViews>
  <sheetFormatPr defaultColWidth="11.421875" defaultRowHeight="15"/>
  <sheetData>
    <row r="1" ht="23.25">
      <c r="A1" s="22" t="s">
        <v>89</v>
      </c>
    </row>
    <row r="4" ht="23.25">
      <c r="A4" s="23" t="s">
        <v>92</v>
      </c>
    </row>
    <row r="6" ht="15">
      <c r="B6" s="45" t="s">
        <v>90</v>
      </c>
    </row>
    <row r="7" ht="15">
      <c r="B7" t="s">
        <v>91</v>
      </c>
    </row>
    <row r="8" spans="1:2" ht="15">
      <c r="A8" s="43"/>
      <c r="B8" t="s">
        <v>107</v>
      </c>
    </row>
    <row r="10" spans="1:9" ht="23.25">
      <c r="A10" s="23" t="s">
        <v>94</v>
      </c>
      <c r="I10" s="23" t="s">
        <v>155</v>
      </c>
    </row>
    <row r="12" spans="2:9" ht="15">
      <c r="B12" t="s">
        <v>72</v>
      </c>
      <c r="I12" t="s">
        <v>153</v>
      </c>
    </row>
    <row r="13" spans="2:9" ht="15">
      <c r="B13" t="s">
        <v>73</v>
      </c>
      <c r="I13" t="s">
        <v>154</v>
      </c>
    </row>
    <row r="14" ht="15">
      <c r="B14" t="s">
        <v>74</v>
      </c>
    </row>
    <row r="15" ht="15">
      <c r="B15" t="s">
        <v>75</v>
      </c>
    </row>
    <row r="16" ht="15">
      <c r="B16" t="s">
        <v>76</v>
      </c>
    </row>
    <row r="17" ht="15">
      <c r="B17" s="44" t="s">
        <v>78</v>
      </c>
    </row>
    <row r="18" ht="15">
      <c r="B18" s="44" t="s">
        <v>79</v>
      </c>
    </row>
    <row r="19" ht="15">
      <c r="B19" t="s">
        <v>86</v>
      </c>
    </row>
    <row r="22" ht="23.25">
      <c r="A22" s="23" t="s">
        <v>93</v>
      </c>
    </row>
    <row r="24" ht="15">
      <c r="A24" s="19" t="s">
        <v>98</v>
      </c>
    </row>
    <row r="25" spans="2:8" ht="15">
      <c r="B25" t="s">
        <v>83</v>
      </c>
      <c r="H25" s="44"/>
    </row>
    <row r="26" ht="15">
      <c r="B26" t="s">
        <v>84</v>
      </c>
    </row>
    <row r="27" ht="15">
      <c r="B27" t="s">
        <v>80</v>
      </c>
    </row>
    <row r="28" ht="15">
      <c r="B28" t="s">
        <v>81</v>
      </c>
    </row>
    <row r="29" ht="15">
      <c r="B29" t="s">
        <v>85</v>
      </c>
    </row>
    <row r="30" ht="15">
      <c r="B30" t="s">
        <v>87</v>
      </c>
    </row>
    <row r="31" ht="15">
      <c r="B31" t="s">
        <v>112</v>
      </c>
    </row>
    <row r="32" ht="15">
      <c r="B32" t="s">
        <v>113</v>
      </c>
    </row>
    <row r="34" ht="15">
      <c r="A34" s="19" t="s">
        <v>100</v>
      </c>
    </row>
    <row r="35" ht="15">
      <c r="B35" t="s">
        <v>77</v>
      </c>
    </row>
    <row r="37" ht="15">
      <c r="A37" s="19" t="s">
        <v>101</v>
      </c>
    </row>
    <row r="38" ht="15">
      <c r="B38" t="s">
        <v>99</v>
      </c>
    </row>
    <row r="39" ht="15">
      <c r="B39" t="s">
        <v>105</v>
      </c>
    </row>
    <row r="40" ht="15">
      <c r="B40" t="s">
        <v>82</v>
      </c>
    </row>
    <row r="41" ht="15">
      <c r="B41" t="s">
        <v>102</v>
      </c>
    </row>
    <row r="42" ht="15">
      <c r="B42" t="s">
        <v>103</v>
      </c>
    </row>
    <row r="43" ht="15">
      <c r="B43" t="s">
        <v>104</v>
      </c>
    </row>
    <row r="44" ht="15">
      <c r="B44" t="s">
        <v>106</v>
      </c>
    </row>
    <row r="47" ht="23.25">
      <c r="A47" s="23" t="s">
        <v>88</v>
      </c>
    </row>
    <row r="49" ht="15">
      <c r="B49" t="s">
        <v>95</v>
      </c>
    </row>
    <row r="50" spans="2:5" ht="15">
      <c r="B50" t="s">
        <v>59</v>
      </c>
      <c r="C50">
        <v>2.67</v>
      </c>
      <c r="E50" s="25"/>
    </row>
    <row r="51" spans="2:3" ht="15">
      <c r="B51" t="s">
        <v>60</v>
      </c>
      <c r="C51">
        <v>2.28</v>
      </c>
    </row>
    <row r="52" ht="15">
      <c r="D52" t="s">
        <v>96</v>
      </c>
    </row>
    <row r="53" spans="2:4" ht="15">
      <c r="B53" t="s">
        <v>97</v>
      </c>
      <c r="D5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Martin</dc:creator>
  <cp:keywords/>
  <dc:description/>
  <cp:lastModifiedBy>KURT Martin</cp:lastModifiedBy>
  <dcterms:created xsi:type="dcterms:W3CDTF">2010-07-21T03:31:49Z</dcterms:created>
  <dcterms:modified xsi:type="dcterms:W3CDTF">2010-11-23T23:19:03Z</dcterms:modified>
  <cp:category/>
  <cp:version/>
  <cp:contentType/>
  <cp:contentStatus/>
</cp:coreProperties>
</file>